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0372"/>
  <workbookPr filterPrivacy="1"/>
  <bookViews>
    <workbookView xWindow="0" yWindow="0" windowWidth="22260" windowHeight="12645" activeTab="0"/>
  </bookViews>
  <sheets>
    <sheet name="Лист1" sheetId="1" r:id="rId2"/>
  </sheets>
  <definedNames>
    <definedName name="_xlnm.Print_Titles" localSheetId="0">Лист1!$8:$8</definedName>
    <definedName name="_xlnm.Print_Area" localSheetId="0">Лист1!$A$1:$R$30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4" i="1" l="1"/>
</calcChain>
</file>

<file path=xl/sharedStrings.xml><?xml version="1.0" encoding="utf-8"?>
<sst xmlns="http://schemas.openxmlformats.org/spreadsheetml/2006/main" count="52" uniqueCount="52">
  <si>
    <t xml:space="preserve">СВОДКА ЗАТРАТ </t>
  </si>
  <si>
    <t>(наименование стройки)</t>
  </si>
  <si>
    <t>Оборудование, мебель и инвентарь</t>
  </si>
  <si>
    <t>Прочие затраты</t>
  </si>
  <si>
    <t>НДС</t>
  </si>
  <si>
    <t>Материал Заказчика</t>
  </si>
  <si>
    <t>Непредвиденные затраты 3 %</t>
  </si>
  <si>
    <t>Итого с непредвиденными</t>
  </si>
  <si>
    <t>Итого с НДС</t>
  </si>
  <si>
    <t>Итого по ЛСР</t>
  </si>
  <si>
    <t>№ ЛСР</t>
  </si>
  <si>
    <t xml:space="preserve">Наименование работ и затрат </t>
  </si>
  <si>
    <t>Итого по этапам</t>
  </si>
  <si>
    <t>Этап №1</t>
  </si>
  <si>
    <t>Итого с зимним удорожанием</t>
  </si>
  <si>
    <t>Строительные работы</t>
  </si>
  <si>
    <t>Монтажные работы</t>
  </si>
  <si>
    <t>Оборудование Заказчика</t>
  </si>
  <si>
    <t>01-01-01</t>
  </si>
  <si>
    <t>02-01-01</t>
  </si>
  <si>
    <t>07-01-01</t>
  </si>
  <si>
    <t>Итого по этапу №1</t>
  </si>
  <si>
    <t>Итого по этапу №2</t>
  </si>
  <si>
    <t>Строительные и монтажные работы</t>
  </si>
  <si>
    <t>Итого</t>
  </si>
  <si>
    <t>Шифр: 12/2021</t>
  </si>
  <si>
    <t xml:space="preserve">Этап №2 </t>
  </si>
  <si>
    <t>01-03-01</t>
  </si>
  <si>
    <t>Разбивка осей - 1этап.</t>
  </si>
  <si>
    <t>Демонтажные работы - 1этап.</t>
  </si>
  <si>
    <t>Наружные сети водопровода - 1 этап.</t>
  </si>
  <si>
    <t>Благоустройство территории - 1 этап.</t>
  </si>
  <si>
    <t>Временные здания и сооружения 1,5%*0,8</t>
  </si>
  <si>
    <t>Зимнее удорожание 4%</t>
  </si>
  <si>
    <t>01-02-01</t>
  </si>
  <si>
    <t>01-04-01</t>
  </si>
  <si>
    <t>02-02-01</t>
  </si>
  <si>
    <t>07-02-01</t>
  </si>
  <si>
    <t>Разбивка осей - 2 этап.</t>
  </si>
  <si>
    <t>Демонтажные работы - 2 этап.</t>
  </si>
  <si>
    <t>Наружные сети водопровода - 2 этап</t>
  </si>
  <si>
    <t>Благоустройство территории - 2 этап.</t>
  </si>
  <si>
    <t>Реконструкция (строительство) закольцовки «Жуковский-Соколовский водоводы»
Тюменская область, г. Тобольск</t>
  </si>
  <si>
    <t>Приложение №2
к   Договору  подряда  № ______________ от "_____"_____________2022 г.</t>
  </si>
  <si>
    <t>Тендерный коэффициент</t>
  </si>
  <si>
    <t>ВСЕГО по этапам</t>
  </si>
  <si>
    <t>ЗАКАЗЧИК:</t>
  </si>
  <si>
    <t xml:space="preserve">Директор АО «СУЭНКО» </t>
  </si>
  <si>
    <t>___________________Д.И. Анучин</t>
  </si>
  <si>
    <t>ПОДРЯДЧИК:</t>
  </si>
  <si>
    <t>Генеральный директор 
ООО «АльфаСтрой»</t>
  </si>
  <si>
    <t>___________________Г.М. Жиделев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</si>
</sst>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0010261536"/>
        <bgColor indexed="64"/>
      </patternFill>
    </fill>
    <fill>
      <patternFill patternType="solid">
        <fgColor rgb="FFFAF8EA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0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/>
    </xf>
    <xf numFmtId="4" fontId="3" fillId="0" borderId="0" xfId="0" applyNumberFormat="1" applyFont="1" applyFill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Fill="1" applyAlignment="1">
      <alignment/>
    </xf>
    <xf numFmtId="0" fontId="5" fillId="0" borderId="0" xfId="0" applyFont="1" applyFill="1" applyAlignment="1">
      <alignment vertical="top"/>
    </xf>
    <xf numFmtId="0" fontId="10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Font="1"/>
    <xf numFmtId="4" fontId="1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44" fontId="3" fillId="0" borderId="5" xfId="20" applyFont="1" applyFill="1" applyBorder="1" applyAlignment="1">
      <alignment horizontal="center" wrapText="1"/>
    </xf>
    <xf numFmtId="44" fontId="4" fillId="0" borderId="5" xfId="2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vertical="top"/>
    </xf>
    <xf numFmtId="4" fontId="13" fillId="0" borderId="1" xfId="0" applyNumberFormat="1" applyFont="1" applyBorder="1" applyAlignment="1">
      <alignment horizontal="right" vertical="center"/>
    </xf>
    <xf numFmtId="0" fontId="14" fillId="0" borderId="0" xfId="0" applyFont="1" applyFill="1" applyAlignment="1">
      <alignment horizontal="right" wrapText="1"/>
    </xf>
    <xf numFmtId="0" fontId="14" fillId="0" borderId="0" xfId="0" applyFont="1" applyFill="1" applyAlignment="1">
      <alignment horizontal="right"/>
    </xf>
    <xf numFmtId="0" fontId="7" fillId="6" borderId="1" xfId="0" applyFont="1" applyFill="1" applyBorder="1" applyAlignment="1">
      <alignment horizontal="right" vertical="center"/>
    </xf>
    <xf numFmtId="4" fontId="8" fillId="6" borderId="1" xfId="0" applyNumberFormat="1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right" vertical="center"/>
    </xf>
    <xf numFmtId="0" fontId="2" fillId="7" borderId="0" xfId="0" applyFont="1" applyFill="1"/>
    <xf numFmtId="4" fontId="8" fillId="7" borderId="1" xfId="0" applyNumberFormat="1" applyFont="1" applyFill="1" applyBorder="1" applyAlignment="1">
      <alignment horizontal="center"/>
    </xf>
    <xf numFmtId="0" fontId="6" fillId="5" borderId="0" xfId="0" applyFont="1" applyFill="1"/>
    <xf numFmtId="4" fontId="15" fillId="5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/>
    </xf>
    <xf numFmtId="0" fontId="11" fillId="0" borderId="0" xfId="0" applyFont="1" applyAlignment="1">
      <alignment vertical="top"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Денежный" xfId="20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worksheet" Target="worksheets/sheet1.xml" /><Relationship Id="rId5" Type="http://schemas.openxmlformats.org/officeDocument/2006/relationships/calcChain" Target="calcChain.xml" /><Relationship Id="rId1" Type="http://schemas.openxmlformats.org/officeDocument/2006/relationships/theme" Target="theme/theme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9"/>
  <sheetViews>
    <sheetView tabSelected="1" view="pageBreakPreview" zoomScale="85" zoomScaleNormal="100" zoomScaleSheetLayoutView="85" workbookViewId="0" topLeftCell="A1">
      <selection pane="topLeft" activeCell="K25" sqref="K25"/>
    </sheetView>
  </sheetViews>
  <sheetFormatPr defaultRowHeight="15"/>
  <cols>
    <col min="1" max="1" width="12.2857142857143" style="1" customWidth="1"/>
    <col min="2" max="2" width="30.1428571428571" style="1" customWidth="1"/>
    <col min="3" max="4" width="13.4285714285714" style="1" hidden="1" customWidth="1"/>
    <col min="5" max="5" width="13.4285714285714" style="1" customWidth="1"/>
    <col min="6" max="6" width="13.4285714285714" style="1" hidden="1" customWidth="1"/>
    <col min="7" max="7" width="12.1428571428571" style="1" customWidth="1"/>
    <col min="8" max="8" width="14.2857142857143" style="1" customWidth="1"/>
    <col min="9" max="9" width="15.4285714285714" style="1" customWidth="1"/>
    <col min="10" max="10" width="14.4285714285714" style="1" customWidth="1"/>
    <col min="11" max="12" width="13.8571428571429" style="1" customWidth="1"/>
    <col min="13" max="13" width="13.2857142857143" style="1" hidden="1" customWidth="1"/>
    <col min="14" max="14" width="14.2857142857143" style="1" customWidth="1"/>
    <col min="15" max="15" width="14.4285714285714" style="1" customWidth="1"/>
    <col min="16" max="16" width="13.4285714285714" style="1" customWidth="1"/>
    <col min="17" max="17" width="13.2857142857143" style="1" customWidth="1"/>
    <col min="18" max="18" width="13.8571428571429" style="1" customWidth="1"/>
    <col min="19" max="19" width="26.8571428571429" style="12" customWidth="1"/>
    <col min="20" max="21" width="16" style="1" customWidth="1"/>
    <col min="22" max="16384" width="9.14285714285714" style="1"/>
  </cols>
  <sheetData>
    <row r="1" spans="1:18" s="10" customFormat="1" ht="18.75" customHeight="1">
      <c r="A1" s="39" t="s">
        <v>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s="10" customFormat="1" ht="13.1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="10" customFormat="1" ht="9" customHeight="1"/>
    <row r="4" spans="1:21" ht="1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6"/>
      <c r="T4" s="16"/>
      <c r="U4" s="16"/>
    </row>
    <row r="5" spans="1:21" ht="36" customHeight="1">
      <c r="A5" s="35" t="s">
        <v>42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/>
      <c r="T5"/>
      <c r="U5"/>
    </row>
    <row r="6" spans="1:21" s="2" customFormat="1" ht="12" customHeight="1">
      <c r="A6" s="37" t="s">
        <v>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/>
      <c r="T6"/>
      <c r="U6"/>
    </row>
    <row r="7" spans="1:21" ht="17.25" customHeight="1">
      <c r="A7" s="17" t="s">
        <v>25</v>
      </c>
      <c r="B7" s="7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/>
      <c r="T7"/>
      <c r="U7"/>
    </row>
    <row r="8" spans="1:21" s="3" customFormat="1" ht="52.5" customHeight="1">
      <c r="A8" s="8" t="s">
        <v>10</v>
      </c>
      <c r="B8" s="18" t="s">
        <v>11</v>
      </c>
      <c r="C8" s="18" t="s">
        <v>15</v>
      </c>
      <c r="D8" s="18" t="s">
        <v>16</v>
      </c>
      <c r="E8" s="18" t="s">
        <v>23</v>
      </c>
      <c r="F8" s="18" t="s">
        <v>2</v>
      </c>
      <c r="G8" s="18" t="s">
        <v>3</v>
      </c>
      <c r="H8" s="18" t="s">
        <v>9</v>
      </c>
      <c r="I8" s="18" t="s">
        <v>32</v>
      </c>
      <c r="J8" s="18" t="s">
        <v>33</v>
      </c>
      <c r="K8" s="18" t="s">
        <v>14</v>
      </c>
      <c r="L8" s="18" t="s">
        <v>5</v>
      </c>
      <c r="M8" s="18" t="s">
        <v>17</v>
      </c>
      <c r="N8" s="18" t="s">
        <v>24</v>
      </c>
      <c r="O8" s="18" t="s">
        <v>6</v>
      </c>
      <c r="P8" s="18" t="s">
        <v>7</v>
      </c>
      <c r="Q8" s="18" t="s">
        <v>4</v>
      </c>
      <c r="R8" s="18" t="s">
        <v>8</v>
      </c>
      <c r="S8" s="11"/>
      <c r="T8" s="5"/>
      <c r="U8" s="5"/>
    </row>
    <row r="9" spans="1:21" s="3" customFormat="1" ht="15">
      <c r="A9" s="21" t="s">
        <v>13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3"/>
      <c r="S9" s="11"/>
      <c r="T9" s="5"/>
      <c r="U9" s="5"/>
    </row>
    <row r="10" spans="1:19" s="6" customFormat="1" ht="29.25" customHeight="1">
      <c r="A10" s="19" t="s">
        <v>18</v>
      </c>
      <c r="B10" s="9" t="s">
        <v>28</v>
      </c>
      <c r="C10" s="13"/>
      <c r="D10" s="13"/>
      <c r="E10" s="13">
        <f>C10+D10</f>
        <v>0</v>
      </c>
      <c r="F10" s="13"/>
      <c r="G10" s="13">
        <v>8136.29</v>
      </c>
      <c r="H10" s="13">
        <f>SUM(E10:G10)</f>
        <v>8136.29</v>
      </c>
      <c r="I10" s="13">
        <f>E10*0.015*0.8</f>
        <v>0</v>
      </c>
      <c r="J10" s="13">
        <f>ROUND((E10+I10)*0.04,2)</f>
        <v>0</v>
      </c>
      <c r="K10" s="13">
        <f>ROUND(H10+I10+J10,2)</f>
        <v>8136.29</v>
      </c>
      <c r="L10" s="13"/>
      <c r="M10" s="13"/>
      <c r="N10" s="20">
        <f>L10+K10</f>
        <v>8136.29</v>
      </c>
      <c r="O10" s="13">
        <f>ROUND(N10*0.03,2)</f>
        <v>244.09</v>
      </c>
      <c r="P10" s="20">
        <f>K10+L10+M10+O10</f>
        <v>8380.3799999999992</v>
      </c>
      <c r="Q10" s="13">
        <f>P10*0.2</f>
        <v>1676.076</v>
      </c>
      <c r="R10" s="20">
        <f>P10+Q10</f>
        <v>10056.455999999998</v>
      </c>
      <c r="S10" s="12"/>
    </row>
    <row r="11" spans="1:19" s="6" customFormat="1" ht="29.25" customHeight="1">
      <c r="A11" s="19" t="s">
        <v>27</v>
      </c>
      <c r="B11" s="9" t="s">
        <v>29</v>
      </c>
      <c r="C11" s="13"/>
      <c r="D11" s="13"/>
      <c r="E11" s="13">
        <v>3607591</v>
      </c>
      <c r="F11" s="13"/>
      <c r="G11" s="13"/>
      <c r="H11" s="13">
        <f t="shared" si="0" ref="H11:H13">SUM(E11:G11)</f>
        <v>3607591</v>
      </c>
      <c r="I11" s="13">
        <f t="shared" si="1" ref="I11:I13">E11*0.015*0.8</f>
        <v>43291.092000000004</v>
      </c>
      <c r="J11" s="13">
        <f t="shared" si="2" ref="J11:J13">ROUND((E11+I11)*0.04,2)</f>
        <v>146035.28</v>
      </c>
      <c r="K11" s="13">
        <f t="shared" si="3" ref="K11:K13">ROUND(H11+I11+J11,2)</f>
        <v>3796917.3700000001</v>
      </c>
      <c r="L11" s="13"/>
      <c r="M11" s="13"/>
      <c r="N11" s="20">
        <f t="shared" si="4" ref="N11:N13">L11+K11</f>
        <v>3796917.3700000001</v>
      </c>
      <c r="O11" s="13">
        <f t="shared" si="5" ref="O11:O13">ROUND(N11*0.03,2)</f>
        <v>113907.52</v>
      </c>
      <c r="P11" s="20">
        <f t="shared" si="6" ref="P11:P13">K11+L11+M11+O11</f>
        <v>3910824.8900000001</v>
      </c>
      <c r="Q11" s="13">
        <f t="shared" si="7" ref="Q11:Q13">P11*0.2</f>
        <v>782164.97800000012</v>
      </c>
      <c r="R11" s="20">
        <f t="shared" si="8" ref="R11:R13">P11+Q11</f>
        <v>4692989.8680000007</v>
      </c>
      <c r="S11" s="12"/>
    </row>
    <row r="12" spans="1:19" s="6" customFormat="1" ht="29.25" customHeight="1">
      <c r="A12" s="19" t="s">
        <v>19</v>
      </c>
      <c r="B12" s="9" t="s">
        <v>30</v>
      </c>
      <c r="C12" s="13"/>
      <c r="D12" s="13"/>
      <c r="E12" s="13">
        <v>95263618</v>
      </c>
      <c r="F12" s="13"/>
      <c r="G12" s="13"/>
      <c r="H12" s="13">
        <f t="shared" si="0"/>
        <v>95263618</v>
      </c>
      <c r="I12" s="38">
        <f>E12*0.015*0.8-0.01</f>
        <v>1143163.406</v>
      </c>
      <c r="J12" s="13">
        <f t="shared" si="2"/>
        <v>3856271.2599999998</v>
      </c>
      <c r="K12" s="13">
        <f t="shared" si="3"/>
        <v>100263052.67</v>
      </c>
      <c r="L12" s="13">
        <v>-29668221</v>
      </c>
      <c r="M12" s="13"/>
      <c r="N12" s="20">
        <f t="shared" si="4"/>
        <v>70594831.670000002</v>
      </c>
      <c r="O12" s="13">
        <f t="shared" si="5"/>
        <v>2117844.9500000002</v>
      </c>
      <c r="P12" s="20">
        <f t="shared" si="6"/>
        <v>72712676.620000005</v>
      </c>
      <c r="Q12" s="13">
        <f t="shared" si="7"/>
        <v>14542535.324000001</v>
      </c>
      <c r="R12" s="20">
        <f t="shared" si="8"/>
        <v>87255211.944000006</v>
      </c>
      <c r="S12" s="12"/>
    </row>
    <row r="13" spans="1:19" s="6" customFormat="1" ht="29.25" customHeight="1">
      <c r="A13" s="19" t="s">
        <v>20</v>
      </c>
      <c r="B13" s="9" t="s">
        <v>31</v>
      </c>
      <c r="C13" s="13"/>
      <c r="D13" s="13"/>
      <c r="E13" s="13">
        <v>127108</v>
      </c>
      <c r="F13" s="13"/>
      <c r="G13" s="13"/>
      <c r="H13" s="13">
        <f t="shared" si="0"/>
        <v>127108</v>
      </c>
      <c r="I13" s="13">
        <f t="shared" si="1"/>
        <v>1525.296</v>
      </c>
      <c r="J13" s="13">
        <f t="shared" si="2"/>
        <v>5145.3299999999999</v>
      </c>
      <c r="K13" s="13">
        <f t="shared" si="3"/>
        <v>133778.63</v>
      </c>
      <c r="L13" s="13"/>
      <c r="M13" s="13"/>
      <c r="N13" s="20">
        <f t="shared" si="4"/>
        <v>133778.63</v>
      </c>
      <c r="O13" s="13">
        <f t="shared" si="5"/>
        <v>4013.3600000000001</v>
      </c>
      <c r="P13" s="20">
        <f t="shared" si="6"/>
        <v>137791.98999999999</v>
      </c>
      <c r="Q13" s="13">
        <f t="shared" si="7"/>
        <v>27558.398000000001</v>
      </c>
      <c r="R13" s="20">
        <f t="shared" si="8"/>
        <v>165350.38799999998</v>
      </c>
      <c r="S13" s="12"/>
    </row>
    <row r="14" spans="1:19" s="6" customFormat="1" ht="15">
      <c r="A14" s="32" t="s">
        <v>21</v>
      </c>
      <c r="B14" s="32"/>
      <c r="C14" s="14">
        <f t="shared" si="9" ref="C14:H14">SUM(C10:C13)</f>
        <v>0</v>
      </c>
      <c r="D14" s="14">
        <f t="shared" si="9"/>
        <v>0</v>
      </c>
      <c r="E14" s="14">
        <f t="shared" si="9"/>
        <v>98998317</v>
      </c>
      <c r="F14" s="14">
        <f t="shared" si="9"/>
        <v>0</v>
      </c>
      <c r="G14" s="14">
        <f t="shared" si="9"/>
        <v>8136.29</v>
      </c>
      <c r="H14" s="14">
        <f t="shared" si="9"/>
        <v>99006453.290000007</v>
      </c>
      <c r="I14" s="14">
        <f>SUM(I10:I13)+0.01</f>
        <v>1187979.804</v>
      </c>
      <c r="J14" s="14">
        <f t="shared" si="10" ref="J14:R14">SUM(J10:J13)</f>
        <v>4007451.8699999996</v>
      </c>
      <c r="K14" s="14">
        <f t="shared" si="10"/>
        <v>104201884.95999999</v>
      </c>
      <c r="L14" s="14">
        <f t="shared" si="10"/>
        <v>-29668221</v>
      </c>
      <c r="M14" s="14">
        <f t="shared" si="10"/>
        <v>0</v>
      </c>
      <c r="N14" s="14">
        <f t="shared" si="10"/>
        <v>74533663.959999993</v>
      </c>
      <c r="O14" s="14">
        <f t="shared" si="10"/>
        <v>2236009.9199999999</v>
      </c>
      <c r="P14" s="14">
        <f t="shared" si="10"/>
        <v>76769673.879999995</v>
      </c>
      <c r="Q14" s="14">
        <f t="shared" si="10"/>
        <v>15353934.776000001</v>
      </c>
      <c r="R14" s="14">
        <f t="shared" si="10"/>
        <v>92123608.656000003</v>
      </c>
      <c r="S14" s="11"/>
    </row>
    <row r="15" spans="1:21" s="3" customFormat="1" ht="15">
      <c r="A15" s="21" t="s">
        <v>26</v>
      </c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T15" s="5"/>
      <c r="U15" s="5"/>
    </row>
    <row r="16" spans="1:19" s="6" customFormat="1" ht="27" customHeight="1">
      <c r="A16" s="19" t="s">
        <v>34</v>
      </c>
      <c r="B16" s="9" t="s">
        <v>38</v>
      </c>
      <c r="C16" s="13"/>
      <c r="D16" s="13"/>
      <c r="E16" s="13">
        <f>C16+D16</f>
        <v>0</v>
      </c>
      <c r="F16" s="13"/>
      <c r="G16" s="13">
        <v>7708.1000000000004</v>
      </c>
      <c r="H16" s="13">
        <f>SUM(E16:G16)</f>
        <v>7708.1000000000004</v>
      </c>
      <c r="I16" s="13">
        <f>E16*0.015*0.8</f>
        <v>0</v>
      </c>
      <c r="J16" s="13">
        <f>ROUND((E16+I16)*0.04,2)</f>
        <v>0</v>
      </c>
      <c r="K16" s="13">
        <f>H16+I16+J16</f>
        <v>7708.1000000000004</v>
      </c>
      <c r="L16" s="13"/>
      <c r="M16" s="13"/>
      <c r="N16" s="20">
        <f>M16+K16+L16</f>
        <v>7708.1000000000004</v>
      </c>
      <c r="O16" s="13">
        <f>ROUND((K16+L16+M16)*0.03,2)</f>
        <v>231.24000000000001</v>
      </c>
      <c r="P16" s="20">
        <f>K16+L16+M16+O16</f>
        <v>7939.3400000000001</v>
      </c>
      <c r="Q16" s="13">
        <f>ROUND(P16*0.2,2)</f>
        <v>1587.8699999999999</v>
      </c>
      <c r="R16" s="20">
        <f>P16+Q16</f>
        <v>9527.2099999999991</v>
      </c>
      <c r="S16" s="12"/>
    </row>
    <row r="17" spans="1:19" s="6" customFormat="1" ht="27" customHeight="1">
      <c r="A17" s="19" t="s">
        <v>35</v>
      </c>
      <c r="B17" s="9" t="s">
        <v>39</v>
      </c>
      <c r="C17" s="13"/>
      <c r="D17" s="13"/>
      <c r="E17" s="13">
        <v>4292033</v>
      </c>
      <c r="F17" s="13"/>
      <c r="G17" s="13"/>
      <c r="H17" s="13">
        <f t="shared" si="11" ref="H17:H19">SUM(E17:G17)</f>
        <v>4292033</v>
      </c>
      <c r="I17" s="13">
        <f t="shared" si="12" ref="I17:I19">E17*0.015*0.8</f>
        <v>51504.396000000001</v>
      </c>
      <c r="J17" s="13">
        <f>(E17+I17)*0.04</f>
        <v>173741.49583999999</v>
      </c>
      <c r="K17" s="13">
        <f>ROUND(H17+I17+J17,1)</f>
        <v>4517278.9000000004</v>
      </c>
      <c r="L17" s="13"/>
      <c r="M17" s="13"/>
      <c r="N17" s="20">
        <f t="shared" si="13" ref="N17:N19">M17+K17+L17</f>
        <v>4517278.9000000004</v>
      </c>
      <c r="O17" s="13">
        <f t="shared" si="14" ref="O17:O19">ROUND((K17+L17+M17)*0.03,2)</f>
        <v>135518.37</v>
      </c>
      <c r="P17" s="20">
        <f t="shared" si="15" ref="P17:P19">K17+L17+M17+O17</f>
        <v>4652797.2700000005</v>
      </c>
      <c r="Q17" s="13">
        <f t="shared" si="16" ref="Q17:Q19">P17*0.2</f>
        <v>930559.45400000014</v>
      </c>
      <c r="R17" s="20">
        <f t="shared" si="17" ref="R17:R19">P17+Q17</f>
        <v>5583356.7240000004</v>
      </c>
      <c r="S17" s="12"/>
    </row>
    <row r="18" spans="1:19" s="6" customFormat="1" ht="27" customHeight="1">
      <c r="A18" s="19" t="s">
        <v>36</v>
      </c>
      <c r="B18" s="9" t="s">
        <v>40</v>
      </c>
      <c r="C18" s="13"/>
      <c r="D18" s="13"/>
      <c r="E18" s="13">
        <v>100776930</v>
      </c>
      <c r="F18" s="13"/>
      <c r="G18" s="13"/>
      <c r="H18" s="13">
        <f t="shared" si="11"/>
        <v>100776930</v>
      </c>
      <c r="I18" s="13">
        <f t="shared" si="12"/>
        <v>1209323.1599999999</v>
      </c>
      <c r="J18" s="38">
        <f>(E18+I18)*0.04-0.01</f>
        <v>4079450.1164000002</v>
      </c>
      <c r="K18" s="13">
        <f t="shared" si="18" ref="K18:K19">H18+I18+J18</f>
        <v>106065703.2764</v>
      </c>
      <c r="L18" s="13">
        <v>-32210909</v>
      </c>
      <c r="M18" s="13"/>
      <c r="N18" s="20">
        <f t="shared" si="13"/>
        <v>73854794.2764</v>
      </c>
      <c r="O18" s="13">
        <f t="shared" si="14"/>
        <v>2215643.8300000001</v>
      </c>
      <c r="P18" s="20">
        <f t="shared" si="15"/>
        <v>76070438.106399998</v>
      </c>
      <c r="Q18" s="13">
        <f t="shared" si="16"/>
        <v>15214087.62128</v>
      </c>
      <c r="R18" s="20">
        <f t="shared" si="17"/>
        <v>91284525.727679998</v>
      </c>
      <c r="S18" s="28"/>
    </row>
    <row r="19" spans="1:19" s="6" customFormat="1" ht="27" customHeight="1">
      <c r="A19" s="19" t="s">
        <v>37</v>
      </c>
      <c r="B19" s="9" t="s">
        <v>41</v>
      </c>
      <c r="C19" s="13"/>
      <c r="D19" s="13"/>
      <c r="E19" s="13">
        <v>162871</v>
      </c>
      <c r="F19" s="13"/>
      <c r="G19" s="13"/>
      <c r="H19" s="13">
        <f t="shared" si="11"/>
        <v>162871</v>
      </c>
      <c r="I19" s="13">
        <f t="shared" si="12"/>
        <v>1954.4520000000002</v>
      </c>
      <c r="J19" s="13">
        <f t="shared" si="19" ref="J19">(E19+I19)*0.04</f>
        <v>6593.0180799999998</v>
      </c>
      <c r="K19" s="13">
        <f t="shared" si="18"/>
        <v>171418.47008</v>
      </c>
      <c r="L19" s="13"/>
      <c r="M19" s="13"/>
      <c r="N19" s="20">
        <f t="shared" si="13"/>
        <v>171418.47008</v>
      </c>
      <c r="O19" s="13">
        <f t="shared" si="14"/>
        <v>5142.5500000000002</v>
      </c>
      <c r="P19" s="20">
        <f t="shared" si="15"/>
        <v>176561.02007999999</v>
      </c>
      <c r="Q19" s="13">
        <f t="shared" si="16"/>
        <v>35312.204015999996</v>
      </c>
      <c r="R19" s="20">
        <f t="shared" si="17"/>
        <v>211873.22409599999</v>
      </c>
      <c r="S19" s="12"/>
    </row>
    <row r="20" spans="1:20" s="6" customFormat="1" ht="15">
      <c r="A20" s="32" t="s">
        <v>22</v>
      </c>
      <c r="B20" s="32"/>
      <c r="C20" s="14">
        <f t="shared" si="20" ref="C20:I20">SUM(C16:C19)</f>
        <v>0</v>
      </c>
      <c r="D20" s="14">
        <f t="shared" si="20"/>
        <v>0</v>
      </c>
      <c r="E20" s="14">
        <f t="shared" si="20"/>
        <v>105231834</v>
      </c>
      <c r="F20" s="14">
        <f t="shared" si="20"/>
        <v>0</v>
      </c>
      <c r="G20" s="14">
        <f t="shared" si="20"/>
        <v>7708.1000000000004</v>
      </c>
      <c r="H20" s="14">
        <f t="shared" si="20"/>
        <v>105239542.09999999</v>
      </c>
      <c r="I20" s="14">
        <f t="shared" si="20"/>
        <v>1262782.0079999999</v>
      </c>
      <c r="J20" s="14">
        <f>SUM(J16:J19)+0.01</f>
        <v>4259784.6403199993</v>
      </c>
      <c r="K20" s="14">
        <f t="shared" si="21" ref="K20:R20">SUM(K16:K19)</f>
        <v>110762108.74648</v>
      </c>
      <c r="L20" s="14">
        <f t="shared" si="21"/>
        <v>-32210909</v>
      </c>
      <c r="M20" s="14">
        <f t="shared" si="21"/>
        <v>0</v>
      </c>
      <c r="N20" s="14">
        <f t="shared" si="21"/>
        <v>78551199.746480003</v>
      </c>
      <c r="O20" s="14">
        <f t="shared" si="21"/>
        <v>2356535.9899999998</v>
      </c>
      <c r="P20" s="14">
        <f t="shared" si="21"/>
        <v>80907735.736479998</v>
      </c>
      <c r="Q20" s="14">
        <f t="shared" si="21"/>
        <v>16181547.149296001</v>
      </c>
      <c r="R20" s="14">
        <f t="shared" si="21"/>
        <v>97089282.885775998</v>
      </c>
      <c r="S20" s="12"/>
      <c r="T20" s="26"/>
    </row>
    <row r="21" spans="3:19" ht="15"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28"/>
    </row>
    <row r="22" spans="1:20" ht="24.75" customHeight="1">
      <c r="A22" s="41" t="s">
        <v>12</v>
      </c>
      <c r="B22" s="41"/>
      <c r="C22" s="42">
        <f t="shared" si="22" ref="C22:Q22">C14+C20</f>
        <v>0</v>
      </c>
      <c r="D22" s="42">
        <f t="shared" si="22"/>
        <v>0</v>
      </c>
      <c r="E22" s="42">
        <f t="shared" si="22"/>
        <v>204230151</v>
      </c>
      <c r="F22" s="42">
        <f t="shared" si="22"/>
        <v>0</v>
      </c>
      <c r="G22" s="42">
        <f t="shared" si="22"/>
        <v>15844.389999999999</v>
      </c>
      <c r="H22" s="42">
        <f t="shared" si="22"/>
        <v>204245995.38999999</v>
      </c>
      <c r="I22" s="42">
        <f t="shared" si="22"/>
        <v>2450761.8119999999</v>
      </c>
      <c r="J22" s="42">
        <f t="shared" si="22"/>
        <v>8267236.5103199985</v>
      </c>
      <c r="K22" s="42">
        <f t="shared" si="22"/>
        <v>214963993.70648</v>
      </c>
      <c r="L22" s="42">
        <f t="shared" si="22"/>
        <v>-61879130</v>
      </c>
      <c r="M22" s="42">
        <f t="shared" si="22"/>
        <v>0</v>
      </c>
      <c r="N22" s="42">
        <f t="shared" si="22"/>
        <v>153084863.70648</v>
      </c>
      <c r="O22" s="42">
        <f t="shared" si="22"/>
        <v>4592545.9100000001</v>
      </c>
      <c r="P22" s="42">
        <f t="shared" si="22"/>
        <v>157677409.61647999</v>
      </c>
      <c r="Q22" s="42">
        <f t="shared" si="22"/>
        <v>31535481.925296001</v>
      </c>
      <c r="R22" s="42">
        <f>R14+R20+0.01</f>
        <v>189212891.55177599</v>
      </c>
      <c r="T22" s="29"/>
    </row>
    <row r="23" spans="1:18" ht="15">
      <c r="A23" s="43" t="s">
        <v>44</v>
      </c>
      <c r="B23" s="43"/>
      <c r="C23" s="44"/>
      <c r="D23" s="44"/>
      <c r="E23" s="45">
        <f>0.8</f>
        <v>0.80000000000000004</v>
      </c>
      <c r="F23" s="45">
        <f t="shared" si="23" ref="F23:R23">0.8</f>
        <v>0.80000000000000004</v>
      </c>
      <c r="G23" s="45">
        <f t="shared" si="23"/>
        <v>0.80000000000000004</v>
      </c>
      <c r="H23" s="45">
        <f t="shared" si="23"/>
        <v>0.80000000000000004</v>
      </c>
      <c r="I23" s="45">
        <f t="shared" si="23"/>
        <v>0.80000000000000004</v>
      </c>
      <c r="J23" s="45">
        <f t="shared" si="23"/>
        <v>0.80000000000000004</v>
      </c>
      <c r="K23" s="45">
        <f t="shared" si="23"/>
        <v>0.80000000000000004</v>
      </c>
      <c r="L23" s="45">
        <f t="shared" si="23"/>
        <v>0.80000000000000004</v>
      </c>
      <c r="M23" s="45">
        <f t="shared" si="23"/>
        <v>0.80000000000000004</v>
      </c>
      <c r="N23" s="45">
        <f t="shared" si="23"/>
        <v>0.80000000000000004</v>
      </c>
      <c r="O23" s="45">
        <f t="shared" si="23"/>
        <v>0.80000000000000004</v>
      </c>
      <c r="P23" s="45">
        <f t="shared" si="23"/>
        <v>0.80000000000000004</v>
      </c>
      <c r="Q23" s="45">
        <f t="shared" si="23"/>
        <v>0.80000000000000004</v>
      </c>
      <c r="R23" s="45">
        <f t="shared" si="23"/>
        <v>0.80000000000000004</v>
      </c>
    </row>
    <row r="24" spans="1:18" ht="25.5" customHeight="1">
      <c r="A24" s="33" t="s">
        <v>45</v>
      </c>
      <c r="B24" s="33"/>
      <c r="C24" s="46"/>
      <c r="D24" s="46"/>
      <c r="E24" s="47">
        <f>E22*E23</f>
        <v>163384120.80000001</v>
      </c>
      <c r="F24" s="47">
        <f t="shared" si="24" ref="F24:R24">F22*F23</f>
        <v>0</v>
      </c>
      <c r="G24" s="47">
        <f t="shared" si="24"/>
        <v>12675.512000000001</v>
      </c>
      <c r="H24" s="47">
        <f t="shared" si="24"/>
        <v>163396796.31200001</v>
      </c>
      <c r="I24" s="47">
        <f t="shared" si="24"/>
        <v>1960609.4495999999</v>
      </c>
      <c r="J24" s="47">
        <f t="shared" si="24"/>
        <v>6613789.2082559988</v>
      </c>
      <c r="K24" s="47">
        <f t="shared" si="24"/>
        <v>171971194.965184</v>
      </c>
      <c r="L24" s="47">
        <f t="shared" si="24"/>
        <v>-49503304</v>
      </c>
      <c r="M24" s="47">
        <f t="shared" si="24"/>
        <v>0</v>
      </c>
      <c r="N24" s="47">
        <f t="shared" si="24"/>
        <v>122467890.965184</v>
      </c>
      <c r="O24" s="47">
        <f t="shared" si="24"/>
        <v>3674036.7280000001</v>
      </c>
      <c r="P24" s="47">
        <f t="shared" si="24"/>
        <v>126141927.693184</v>
      </c>
      <c r="Q24" s="47">
        <f t="shared" si="24"/>
        <v>25228385.540236801</v>
      </c>
      <c r="R24" s="47">
        <f t="shared" si="24"/>
        <v>151370313.24142081</v>
      </c>
    </row>
    <row r="25" spans="1:18" s="0" customFormat="1" ht="23.25" customHeight="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</row>
    <row r="26" spans="1:18" s="0" customFormat="1" ht="14.25" customHeight="1">
      <c r="A26" s="48"/>
      <c r="B26" s="48"/>
      <c r="C26" s="48"/>
      <c r="D26" s="48"/>
      <c r="E26" s="48" t="s">
        <v>46</v>
      </c>
      <c r="F26" s="48"/>
      <c r="G26" s="48"/>
      <c r="H26" s="48"/>
      <c r="I26" s="48"/>
      <c r="J26" s="48"/>
      <c r="K26" s="48" t="s">
        <v>49</v>
      </c>
      <c r="L26" s="48"/>
      <c r="M26" s="48"/>
      <c r="N26" s="48"/>
      <c r="O26" s="48"/>
      <c r="P26" s="48"/>
      <c r="Q26" s="48"/>
      <c r="R26" s="48"/>
    </row>
    <row r="27" spans="1:18" s="0" customFormat="1" ht="8.25" customHeight="1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</row>
    <row r="28" spans="1:18" s="0" customFormat="1" ht="23.25" customHeight="1">
      <c r="A28" s="48"/>
      <c r="B28" s="48"/>
      <c r="C28" s="48"/>
      <c r="D28" s="48"/>
      <c r="E28" s="48" t="s">
        <v>47</v>
      </c>
      <c r="F28" s="48"/>
      <c r="G28" s="48"/>
      <c r="H28" s="48"/>
      <c r="I28" s="48"/>
      <c r="J28" s="48"/>
      <c r="K28" s="48" t="s">
        <v>50</v>
      </c>
      <c r="L28" s="48"/>
      <c r="M28" s="48"/>
      <c r="N28" s="48"/>
      <c r="O28" s="48"/>
      <c r="P28" s="48"/>
      <c r="Q28" s="48"/>
      <c r="R28" s="48"/>
    </row>
    <row r="29" spans="1:18" s="0" customFormat="1" ht="14.25" customHeight="1">
      <c r="A29" s="49"/>
      <c r="B29" s="49"/>
      <c r="C29" s="49"/>
      <c r="D29" s="49"/>
      <c r="E29" s="49" t="s">
        <v>48</v>
      </c>
      <c r="F29" s="49"/>
      <c r="G29" s="49"/>
      <c r="H29" s="49"/>
      <c r="I29" s="49"/>
      <c r="J29" s="49"/>
      <c r="K29" s="49" t="s">
        <v>51</v>
      </c>
      <c r="L29" s="49"/>
      <c r="M29" s="49"/>
      <c r="N29" s="49"/>
      <c r="O29" s="49"/>
      <c r="P29" s="49"/>
      <c r="Q29" s="49"/>
      <c r="R29" s="49"/>
    </row>
    <row r="30" spans="1:18" s="0" customFormat="1" ht="8.25" customHeight="1">
      <c r="A30" s="27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7"/>
      <c r="R30" s="27"/>
    </row>
    <row r="31" spans="1:18" s="0" customFormat="1" ht="23.2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s="0" customFormat="1" ht="14.2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</row>
    <row r="33" spans="1:18" s="0" customFormat="1" ht="8.25" customHeight="1" hidden="1">
      <c r="A33" s="27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27"/>
      <c r="R33" s="27"/>
    </row>
    <row r="34" spans="1:18" s="0" customFormat="1" ht="17.25" customHeight="1" hidden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1:18" s="0" customFormat="1" ht="14.25" customHeight="1" hidden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</row>
    <row r="36" spans="1:18" s="0" customFormat="1" ht="8.25" customHeight="1">
      <c r="A36" s="27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27"/>
      <c r="R36" s="27"/>
    </row>
    <row r="37" spans="1:18" s="0" customFormat="1" ht="23.2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1:18" s="0" customFormat="1" ht="14.2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</row>
    <row r="39" spans="7:7" ht="15">
      <c r="G39" s="2"/>
    </row>
  </sheetData>
  <mergeCells count="18">
    <mergeCell ref="A14:B14"/>
    <mergeCell ref="A20:B20"/>
    <mergeCell ref="A22:B22"/>
    <mergeCell ref="A4:R4"/>
    <mergeCell ref="A5:R5"/>
    <mergeCell ref="A6:R6"/>
    <mergeCell ref="A1:R2"/>
    <mergeCell ref="A23:B23"/>
    <mergeCell ref="A24:B24"/>
    <mergeCell ref="A38:R38"/>
    <mergeCell ref="B33:P33"/>
    <mergeCell ref="B36:P36"/>
    <mergeCell ref="B30:P30"/>
    <mergeCell ref="A31:R31"/>
    <mergeCell ref="A34:R34"/>
    <mergeCell ref="A37:R37"/>
    <mergeCell ref="A32:R32"/>
    <mergeCell ref="A35:R35"/>
  </mergeCells>
  <printOptions horizontalCentered="1"/>
  <pageMargins left="0.118110236220472" right="0.118110236220472" top="0.354330708661417" bottom="0.15748031496063" header="0.31496062992126" footer="0.31496062992126"/>
  <pageSetup fitToHeight="0" orientation="landscape" paperSize="9" scale="69" r:id="rId1"/>
  <headerFooter>
    <oddFooter>&amp;L&amp;"Tahoma, Regular"&amp;K000000Рег. номер WSS Docs: Проект-Д-ТбФС-114607</oddFooter>
  </headerFooter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2022-11-08T10:03:18Z</dcterms:modified>
  <cp:category/>
</cp:coreProperties>
</file>